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johan\Dropbox\Gasefuels AB\Leader Biogas\möte 26 och 27 mars\"/>
    </mc:Choice>
  </mc:AlternateContent>
  <xr:revisionPtr revIDLastSave="0" documentId="13_ncr:1_{B9C6AB56-114F-46B0-8F5E-05F13A8DCB71}" xr6:coauthVersionLast="45" xr6:coauthVersionMax="45" xr10:uidLastSave="{00000000-0000-0000-0000-000000000000}"/>
  <workbookProtection workbookAlgorithmName="SHA-512" workbookHashValue="VOoSZv4QlRsgNihE/398NVpnqd9Nkw4x7IS7vd5dZwiOE9vSVm23tTVyS4txqjK+um/AjFXMWoygc2GEdjaFZw==" workbookSaltValue="tyYt2w5w1ih4X/ikzDiefg==" workbookSpinCount="100000" lockStructure="1"/>
  <bookViews>
    <workbookView xWindow="28680" yWindow="-120" windowWidth="29040" windowHeight="15840" xr2:uid="{00000000-000D-0000-FFFF-FFFF00000000}"/>
  </bookViews>
  <sheets>
    <sheet name="Instruktioner" sheetId="2" r:id="rId1"/>
    <sheet name="Beräkningsverkty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" l="1"/>
  <c r="B47" i="1"/>
  <c r="G5" i="1" l="1"/>
  <c r="F5" i="1"/>
  <c r="E5" i="1"/>
  <c r="G4" i="1"/>
  <c r="F4" i="1"/>
  <c r="E4" i="1"/>
  <c r="B33" i="1" l="1"/>
  <c r="L10" i="1" l="1"/>
  <c r="M10" i="1" s="1"/>
  <c r="L5" i="1"/>
  <c r="M5" i="1" s="1"/>
  <c r="L4" i="1"/>
  <c r="M4" i="1" s="1"/>
  <c r="M6" i="1" l="1"/>
  <c r="M15" i="1" s="1"/>
  <c r="B71" i="1" s="1"/>
  <c r="B39" i="1"/>
  <c r="B74" i="1" s="1"/>
  <c r="B34" i="1"/>
  <c r="B73" i="1" s="1"/>
  <c r="B59" i="1" l="1"/>
  <c r="B24" i="1"/>
  <c r="B26" i="1"/>
  <c r="B61" i="1" l="1"/>
  <c r="B65" i="1" s="1"/>
  <c r="B75" i="1" s="1"/>
  <c r="B27" i="1"/>
  <c r="B29" i="1" s="1"/>
  <c r="D5" i="1" l="1"/>
  <c r="D4" i="1"/>
  <c r="B6" i="1" l="1"/>
  <c r="B72" i="1" s="1"/>
  <c r="J5" i="1"/>
  <c r="I5" i="1"/>
  <c r="H5" i="1"/>
  <c r="J4" i="1"/>
  <c r="I4" i="1"/>
  <c r="H4" i="1"/>
  <c r="J6" i="1" l="1"/>
  <c r="H10" i="1"/>
  <c r="I6" i="1"/>
  <c r="H6" i="1"/>
  <c r="D6" i="1"/>
  <c r="F6" i="1" l="1"/>
  <c r="F11" i="1" s="1"/>
  <c r="F12" i="1" s="1"/>
  <c r="I11" i="1"/>
  <c r="G6" i="1"/>
  <c r="G11" i="1" s="1"/>
  <c r="G12" i="1" s="1"/>
  <c r="J11" i="1"/>
  <c r="E6" i="1"/>
  <c r="E11" i="1" s="1"/>
  <c r="E12" i="1" s="1"/>
  <c r="H11" i="1"/>
  <c r="H12" i="1" s="1"/>
  <c r="H15" i="1" s="1"/>
  <c r="I10" i="1"/>
  <c r="J10" i="1"/>
  <c r="J12" i="1" l="1"/>
  <c r="J15" i="1" s="1"/>
  <c r="I12" i="1"/>
  <c r="I15" i="1" s="1"/>
  <c r="B70" i="1" l="1"/>
  <c r="B76" i="1" s="1"/>
</calcChain>
</file>

<file path=xl/sharedStrings.xml><?xml version="1.0" encoding="utf-8"?>
<sst xmlns="http://schemas.openxmlformats.org/spreadsheetml/2006/main" count="126" uniqueCount="94">
  <si>
    <t>Substrat</t>
  </si>
  <si>
    <t>% TS</t>
  </si>
  <si>
    <t>kg P/ton</t>
  </si>
  <si>
    <t>kg K/ton</t>
  </si>
  <si>
    <t>Nötflytgödsel</t>
  </si>
  <si>
    <t>ton</t>
  </si>
  <si>
    <t>Summa</t>
  </si>
  <si>
    <t>kg P totalt</t>
  </si>
  <si>
    <t>kg K totalt</t>
  </si>
  <si>
    <t>Biogödsel</t>
  </si>
  <si>
    <t>Mängd som tas emot från biogasanläggningen, fyll i gröna rutor</t>
  </si>
  <si>
    <t>kr/kg NH4</t>
  </si>
  <si>
    <t>kr/kg P</t>
  </si>
  <si>
    <t>kr/kg K</t>
  </si>
  <si>
    <t>kr P totalt</t>
  </si>
  <si>
    <t>kr K totalt</t>
  </si>
  <si>
    <t>Minskade transporter</t>
  </si>
  <si>
    <t>kr</t>
  </si>
  <si>
    <t>Investeringar</t>
  </si>
  <si>
    <t>kWh biogas</t>
  </si>
  <si>
    <t>Djupströ nöt</t>
  </si>
  <si>
    <t>Växtnäring i gödsel som kördes från gården</t>
  </si>
  <si>
    <t>Nettoeffekt växtnäring till gård</t>
  </si>
  <si>
    <t>Pumpbrunn</t>
  </si>
  <si>
    <t>Lagringskapacitet</t>
  </si>
  <si>
    <t>m3</t>
  </si>
  <si>
    <t>Specifik investeringskostnad</t>
  </si>
  <si>
    <t>kr/m3</t>
  </si>
  <si>
    <t>Total investeringskostnad</t>
  </si>
  <si>
    <t>Specifik investeringskostnad duktak</t>
  </si>
  <si>
    <t>Summa investeringar på gård</t>
  </si>
  <si>
    <t>%</t>
  </si>
  <si>
    <t>Nettoinvestering efter stöd</t>
  </si>
  <si>
    <t>Investeringsstöd landsbygdsprogrammet</t>
  </si>
  <si>
    <t>Kalkylränta</t>
  </si>
  <si>
    <t>Avskrivningstid</t>
  </si>
  <si>
    <t>år</t>
  </si>
  <si>
    <t>Kostnad pumpbrunn, annuitetsmetoden</t>
  </si>
  <si>
    <t>kr/år</t>
  </si>
  <si>
    <t>km enkel resa till satellitbrunn</t>
  </si>
  <si>
    <t>Timkostnad lastbil</t>
  </si>
  <si>
    <t>kr/h</t>
  </si>
  <si>
    <t>Lastning och lossning</t>
  </si>
  <si>
    <t>Hastighet lastbil</t>
  </si>
  <si>
    <t>km/h</t>
  </si>
  <si>
    <t>Körkostnad</t>
  </si>
  <si>
    <t>Summa lastning, lossning och körning</t>
  </si>
  <si>
    <t>minuter</t>
  </si>
  <si>
    <t>kr/körning</t>
  </si>
  <si>
    <t>Kapacitet gödseltrailer</t>
  </si>
  <si>
    <t xml:space="preserve">Besparingar - gratis utkörning till satellitbrunn </t>
  </si>
  <si>
    <t>Besparing transport</t>
  </si>
  <si>
    <t>Spridningskostnad fastgödsel</t>
  </si>
  <si>
    <t>kr/ton</t>
  </si>
  <si>
    <t>Mängd fastgödsel</t>
  </si>
  <si>
    <t>ton/år</t>
  </si>
  <si>
    <t>Besparing - minskad kostnad för spridning av fastgödsel nöt/svin</t>
  </si>
  <si>
    <t>Besparing</t>
  </si>
  <si>
    <t>Kalkyl för gården</t>
  </si>
  <si>
    <t>Besparing utkörning till satellitlager</t>
  </si>
  <si>
    <t>1: Ja, 0: Nej</t>
  </si>
  <si>
    <t>Lagringsbrunn i betong</t>
  </si>
  <si>
    <t>Minskad spridningskostnad fastgödsel</t>
  </si>
  <si>
    <t>Ökad spridningskostnad flytgödsel</t>
  </si>
  <si>
    <t>Större biogödselmängd än dagens gödsel respektive ifall endast fastgödsel hanteras idag på gården.</t>
  </si>
  <si>
    <t>Ökad mängd flytgödsel jämfört med idag</t>
  </si>
  <si>
    <t>Spridningskostnad</t>
  </si>
  <si>
    <t>Summa ökad spridningskostnad flyt</t>
  </si>
  <si>
    <t>Duktak</t>
  </si>
  <si>
    <t>Specifik investeringskostnad brunn</t>
  </si>
  <si>
    <t>Investeringar (pumpbrunn, lagringsbrunn)</t>
  </si>
  <si>
    <t>Biogödsel som körs direkt till satellitlager</t>
  </si>
  <si>
    <t>Beräkningsverktyg för att byta gödsel mot biogödsel- fyll i gröna rutor</t>
  </si>
  <si>
    <t>(minus betyder att man ska betala för växtnäringsbytet)</t>
  </si>
  <si>
    <t>kg N/ton</t>
  </si>
  <si>
    <t>N-effekt %</t>
  </si>
  <si>
    <t>Effektiv N kg/ton</t>
  </si>
  <si>
    <t>kr N totalt</t>
  </si>
  <si>
    <t>Effektiv N kg</t>
  </si>
  <si>
    <t>kg N totalt</t>
  </si>
  <si>
    <t>Att betala eller få betalt för växtnäring</t>
  </si>
  <si>
    <t>Växtnäringsbalans Gasum</t>
  </si>
  <si>
    <t>Kväveeffekt</t>
  </si>
  <si>
    <t>N-effekt gård kronor</t>
  </si>
  <si>
    <t>Övriga investeringar</t>
  </si>
  <si>
    <t>Exempelvis gödselplatta på gård, väg till satellitbrunn</t>
  </si>
  <si>
    <t xml:space="preserve">Gröna rutor kan fyllas i och övriga celler är skyddade. </t>
  </si>
  <si>
    <t>Längst ned i kalkylbladet finns en sammanställning över total ekonomi.</t>
  </si>
  <si>
    <t>Götene Biogas Ekonomisk Förening</t>
  </si>
  <si>
    <t>Näringsinnehåll i gödsel från Greppa.</t>
  </si>
  <si>
    <t>Den bör vara kring 200 m3.</t>
  </si>
  <si>
    <t>Biogasutbyte baseras på Substrathandboken (Carlsson, Uldal (2009)).</t>
  </si>
  <si>
    <t>Kväveeffekt baserat på rapporten "Potential methods for estimating nitrogen fertilizer value of organic residues, Soil Use and Management 28(3):283-291 September 2012, Sofia Delin".</t>
  </si>
  <si>
    <t>Instruktioner till beräkningsverktyg för nötgödsel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</si>
</sst>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92D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0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Fill="1" applyBorder="1"/>
    <xf numFmtId="2" fontId="0" fillId="0" borderId="1" xfId="0" applyNumberFormat="1" applyBorder="1"/>
    <xf numFmtId="1" fontId="0" fillId="0" borderId="1" xfId="0" applyNumberFormat="1" applyFill="1" applyBorder="1"/>
    <xf numFmtId="2" fontId="0" fillId="3" borderId="1" xfId="0" applyNumberFormat="1" applyFill="1" applyBorder="1" applyAlignment="1" applyProtection="1">
      <alignment horizontal="right" indent="1"/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263245</xdr:colOff>
      <xdr:row>20</xdr:row>
      <xdr:rowOff>174788</xdr:rowOff>
    </xdr:from>
    <xdr:to>
      <xdr:col>8</xdr:col>
      <xdr:colOff>304800</xdr:colOff>
      <xdr:row>28</xdr:row>
      <xdr:rowOff>148258</xdr:rowOff>
    </xdr:to>
    <xdr:pic>
      <xdr:nvPicPr>
        <xdr:cNvPr id="14" name="Bildobjekt 13" descr="Leader Nordvästra Skaraborg">
          <a:extLst>
            <a:ext uri="{FF2B5EF4-FFF2-40B4-BE49-F238E27FC236}">
              <a16:creationId xmlns:a16="http://schemas.microsoft.com/office/drawing/2014/main" id="{77CCBD5A-0025-47CD-8ADE-0BDED9D9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45" y="5018931"/>
          <a:ext cx="4918355" cy="1453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518918</xdr:colOff>
      <xdr:row>22</xdr:row>
      <xdr:rowOff>10129</xdr:rowOff>
    </xdr:from>
    <xdr:to>
      <xdr:col>11</xdr:col>
      <xdr:colOff>533400</xdr:colOff>
      <xdr:row>28</xdr:row>
      <xdr:rowOff>148154</xdr:rowOff>
    </xdr:to>
    <xdr:pic>
      <xdr:nvPicPr>
        <xdr:cNvPr id="17" name="Bildobjekt 16" descr="LEADER-1">
          <a:extLst>
            <a:ext uri="{FF2B5EF4-FFF2-40B4-BE49-F238E27FC236}">
              <a16:creationId xmlns:a16="http://schemas.microsoft.com/office/drawing/2014/main" id="{F0C68F77-BA06-46D5-992F-D32CE9A44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5318" y="5224386"/>
          <a:ext cx="1233682" cy="1248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97971</xdr:colOff>
      <xdr:row>21</xdr:row>
      <xdr:rowOff>174172</xdr:rowOff>
    </xdr:from>
    <xdr:to>
      <xdr:col>15</xdr:col>
      <xdr:colOff>289079</xdr:colOff>
      <xdr:row>29</xdr:row>
      <xdr:rowOff>108857</xdr:rowOff>
    </xdr:to>
    <xdr:pic>
      <xdr:nvPicPr>
        <xdr:cNvPr id="19" name="Bildobjekt 18" descr="EUlogo_c_RGB">
          <a:extLst>
            <a:ext uri="{FF2B5EF4-FFF2-40B4-BE49-F238E27FC236}">
              <a16:creationId xmlns:a16="http://schemas.microsoft.com/office/drawing/2014/main" id="{55D1D9FC-77AB-4C01-80B8-CF4D4EA8B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2771" y="5203372"/>
          <a:ext cx="1410308" cy="141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107935</xdr:colOff>
      <xdr:row>13</xdr:row>
      <xdr:rowOff>146429</xdr:rowOff>
    </xdr:from>
    <xdr:to>
      <xdr:col>13</xdr:col>
      <xdr:colOff>283029</xdr:colOff>
      <xdr:row>20</xdr:row>
      <xdr:rowOff>76201</xdr:rowOff>
    </xdr:to>
    <xdr:pic>
      <xdr:nvPicPr>
        <xdr:cNvPr id="20" name="Bildobjekt 19" descr="Visa källbilden">
          <a:extLst>
            <a:ext uri="{FF2B5EF4-FFF2-40B4-BE49-F238E27FC236}">
              <a16:creationId xmlns:a16="http://schemas.microsoft.com/office/drawing/2014/main" id="{0CA47B8A-1A77-40E5-B9A6-887D895E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3535" y="3292400"/>
          <a:ext cx="1394294" cy="1410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78188</xdr:colOff>
      <xdr:row>85</xdr:row>
      <xdr:rowOff>31248</xdr:rowOff>
    </xdr:from>
    <xdr:to>
      <xdr:col>3</xdr:col>
      <xdr:colOff>429491</xdr:colOff>
      <xdr:row>92</xdr:row>
      <xdr:rowOff>74409</xdr:rowOff>
    </xdr:to>
    <xdr:pic>
      <xdr:nvPicPr>
        <xdr:cNvPr id="2" name="Bildobjekt 1" descr="Leader Nordvästra Skaraborg">
          <a:extLst>
            <a:ext uri="{FF2B5EF4-FFF2-40B4-BE49-F238E27FC236}">
              <a16:creationId xmlns:a16="http://schemas.microsoft.com/office/drawing/2014/main" id="{FEF469F8-1237-4439-A520-57FA82D77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88" y="15520630"/>
          <a:ext cx="4535376" cy="13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554543</xdr:colOff>
      <xdr:row>86</xdr:row>
      <xdr:rowOff>60598</xdr:rowOff>
    </xdr:from>
    <xdr:to>
      <xdr:col>6</xdr:col>
      <xdr:colOff>457240</xdr:colOff>
      <xdr:row>92</xdr:row>
      <xdr:rowOff>124692</xdr:rowOff>
    </xdr:to>
    <xdr:pic>
      <xdr:nvPicPr>
        <xdr:cNvPr id="3" name="Bildobjekt 2" descr="LEADER-1">
          <a:extLst>
            <a:ext uri="{FF2B5EF4-FFF2-40B4-BE49-F238E27FC236}">
              <a16:creationId xmlns:a16="http://schemas.microsoft.com/office/drawing/2014/main" id="{CDFD31C1-8346-4A4B-96EA-6183CD05A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2179" y="15730089"/>
          <a:ext cx="1163461" cy="1144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753093</xdr:colOff>
      <xdr:row>86</xdr:row>
      <xdr:rowOff>80159</xdr:rowOff>
    </xdr:from>
    <xdr:to>
      <xdr:col>9</xdr:col>
      <xdr:colOff>254775</xdr:colOff>
      <xdr:row>92</xdr:row>
      <xdr:rowOff>166255</xdr:rowOff>
    </xdr:to>
    <xdr:pic>
      <xdr:nvPicPr>
        <xdr:cNvPr id="4" name="Bildobjekt 3" descr="EUlogo_c_RGB">
          <a:extLst>
            <a:ext uri="{FF2B5EF4-FFF2-40B4-BE49-F238E27FC236}">
              <a16:creationId xmlns:a16="http://schemas.microsoft.com/office/drawing/2014/main" id="{C21A6025-BDDC-4351-A91F-DE581C600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9529" y="15749650"/>
          <a:ext cx="1191937" cy="11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343462</xdr:colOff>
      <xdr:row>78</xdr:row>
      <xdr:rowOff>132574</xdr:rowOff>
    </xdr:from>
    <xdr:to>
      <xdr:col>6</xdr:col>
      <xdr:colOff>478378</xdr:colOff>
      <xdr:row>86</xdr:row>
      <xdr:rowOff>62346</xdr:rowOff>
    </xdr:to>
    <xdr:pic>
      <xdr:nvPicPr>
        <xdr:cNvPr id="5" name="Bildobjekt 4" descr="Visa källbilden">
          <a:extLst>
            <a:ext uri="{FF2B5EF4-FFF2-40B4-BE49-F238E27FC236}">
              <a16:creationId xmlns:a16="http://schemas.microsoft.com/office/drawing/2014/main" id="{E387C96E-D5F0-4E7D-A832-BA697CB1C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1098" y="14181083"/>
          <a:ext cx="1395680" cy="1550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57C94-EF83-488A-A85B-E7A99ED5EFFA}">
  <dimension ref="A1:B18"/>
  <sheetViews>
    <sheetView showGridLines="0" tabSelected="1" zoomScale="70" zoomScaleNormal="70" workbookViewId="0">
      <selection activeCell="P35" sqref="P35"/>
    </sheetView>
  </sheetViews>
  <sheetFormatPr defaultRowHeight="14.4" x14ac:dyDescent="0.3"/>
  <sheetData>
    <row r="1" spans="1:2" ht="21" x14ac:dyDescent="0.4">
      <c r="A1" s="15" t="s">
        <v>93</v>
      </c>
      <c r="B1" s="16"/>
    </row>
    <row r="2" spans="1:2" ht="21" x14ac:dyDescent="0.4">
      <c r="A2" s="16"/>
      <c r="B2" s="16"/>
    </row>
    <row r="3" spans="1:2" ht="21" x14ac:dyDescent="0.4">
      <c r="A3" s="16" t="s">
        <v>86</v>
      </c>
      <c r="B3" s="16"/>
    </row>
    <row r="4" spans="1:2" ht="21" x14ac:dyDescent="0.4">
      <c r="A4" s="16"/>
      <c r="B4" s="16"/>
    </row>
    <row r="5" spans="1:2" ht="21" x14ac:dyDescent="0.4">
      <c r="A5" s="16" t="s">
        <v>87</v>
      </c>
      <c r="B5" s="16"/>
    </row>
    <row r="6" spans="1:2" ht="21" x14ac:dyDescent="0.4">
      <c r="A6" s="16"/>
      <c r="B6" s="16"/>
    </row>
    <row r="7" spans="1:2" ht="21" x14ac:dyDescent="0.4">
      <c r="A7" s="16" t="s">
        <v>91</v>
      </c>
      <c r="B7" s="16"/>
    </row>
    <row r="8" spans="1:2" ht="21" x14ac:dyDescent="0.4">
      <c r="A8" s="16"/>
      <c r="B8" s="16"/>
    </row>
    <row r="9" spans="1:2" ht="21" x14ac:dyDescent="0.4">
      <c r="A9" s="16" t="s">
        <v>89</v>
      </c>
      <c r="B9" s="16"/>
    </row>
    <row r="10" spans="1:2" ht="21" x14ac:dyDescent="0.4">
      <c r="A10" s="16"/>
      <c r="B10" s="16"/>
    </row>
    <row r="11" spans="1:2" ht="21" x14ac:dyDescent="0.4">
      <c r="A11" s="16" t="s">
        <v>92</v>
      </c>
      <c r="B11" s="16"/>
    </row>
    <row r="18" spans="2:2" ht="28.8" x14ac:dyDescent="0.55000000000000004">
      <c r="B18" s="14" t="s">
        <v>88</v>
      </c>
    </row>
  </sheetData>
  <sheetProtection algorithmName="SHA-512" hashValue="jp1zOkHKyOHWpljnHQVP88ARioH0aq/kwr9faCzHGxROzGgh/pxVP3fvFd+7nCalpV2VRGEEabhDgfylj4mCjw==" saltValue="8s5hasEOS4mOIooUqVTzl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showGridLines="0" zoomScale="85" zoomScaleNormal="85" workbookViewId="0">
      <selection activeCell="O37" sqref="O37"/>
    </sheetView>
  </sheetViews>
  <sheetFormatPr defaultRowHeight="14.4" x14ac:dyDescent="0.3"/>
  <cols>
    <col min="1" max="1" width="38.5546875" customWidth="1"/>
    <col min="2" max="2" width="10.33203125" customWidth="1"/>
    <col min="3" max="3" width="12.109375" customWidth="1"/>
    <col min="4" max="4" width="11.6640625" customWidth="1"/>
    <col min="5" max="5" width="10" customWidth="1"/>
    <col min="6" max="7" width="8.33203125" bestFit="1" customWidth="1"/>
    <col min="8" max="8" width="14.44140625" customWidth="1"/>
    <col min="9" max="9" width="10.109375" customWidth="1"/>
    <col min="10" max="10" width="10.88671875" customWidth="1"/>
    <col min="11" max="11" width="11.5546875" customWidth="1"/>
    <col min="12" max="12" width="17.5546875" customWidth="1"/>
    <col min="13" max="13" width="22.44140625" customWidth="1"/>
  </cols>
  <sheetData>
    <row r="1" spans="1:13" x14ac:dyDescent="0.3">
      <c r="A1" s="2" t="s">
        <v>72</v>
      </c>
    </row>
    <row r="2" spans="1:13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x14ac:dyDescent="0.3">
      <c r="A3" s="3" t="s">
        <v>0</v>
      </c>
      <c r="B3" s="3" t="s">
        <v>5</v>
      </c>
      <c r="C3" s="3" t="s">
        <v>1</v>
      </c>
      <c r="D3" s="3" t="s">
        <v>19</v>
      </c>
      <c r="E3" s="3" t="s">
        <v>74</v>
      </c>
      <c r="F3" s="3" t="s">
        <v>2</v>
      </c>
      <c r="G3" s="3" t="s">
        <v>3</v>
      </c>
      <c r="H3" s="3" t="s">
        <v>79</v>
      </c>
      <c r="I3" s="3" t="s">
        <v>7</v>
      </c>
      <c r="J3" s="3" t="s">
        <v>8</v>
      </c>
      <c r="K3" s="3" t="s">
        <v>75</v>
      </c>
      <c r="L3" s="3" t="s">
        <v>76</v>
      </c>
      <c r="M3" s="10" t="s">
        <v>78</v>
      </c>
    </row>
    <row r="4" spans="1:13" x14ac:dyDescent="0.3">
      <c r="A4" s="4" t="s">
        <v>4</v>
      </c>
      <c r="B4" s="17">
        <v>0</v>
      </c>
      <c r="C4" s="17">
        <v>6.6</v>
      </c>
      <c r="D4" s="5">
        <f>B4*C4*0.01*0.8*0.94*212.5*9.97</f>
        <v>0</v>
      </c>
      <c r="E4" s="8">
        <f>3.48*C4/6.6</f>
        <v>3.48</v>
      </c>
      <c r="F4" s="8">
        <f>0.46*C4/6.6</f>
        <v>0.46</v>
      </c>
      <c r="G4" s="8">
        <f>2.97*C4/6.6</f>
        <v>2.97</v>
      </c>
      <c r="H4" s="8">
        <f t="shared" ref="H4:H5" si="0">B4*E4</f>
        <v>0</v>
      </c>
      <c r="I4" s="8">
        <f t="shared" ref="I4:I5" si="1">B4*F4</f>
        <v>0</v>
      </c>
      <c r="J4" s="8">
        <f t="shared" ref="J4:J5" si="2">B4*G4</f>
        <v>0</v>
      </c>
      <c r="K4" s="13">
        <v>50</v>
      </c>
      <c r="L4" s="11">
        <f>(K4/100)*E4</f>
        <v>1.74</v>
      </c>
      <c r="M4" s="4">
        <f>L4*B4</f>
        <v>0</v>
      </c>
    </row>
    <row r="5" spans="1:13" x14ac:dyDescent="0.3">
      <c r="A5" s="4" t="s">
        <v>20</v>
      </c>
      <c r="B5" s="17">
        <v>0</v>
      </c>
      <c r="C5" s="17">
        <v>25.4</v>
      </c>
      <c r="D5" s="5">
        <f>B5*C5*0.01*0.8*0.74*250*9.97</f>
        <v>0</v>
      </c>
      <c r="E5" s="8">
        <f>6.84*C5/25.4</f>
        <v>6.84</v>
      </c>
      <c r="F5" s="8">
        <f>1.47*C5/25.4</f>
        <v>1.4699999999999998</v>
      </c>
      <c r="G5" s="8">
        <f>10.56*C5/25.4</f>
        <v>10.56</v>
      </c>
      <c r="H5" s="8">
        <f t="shared" si="0"/>
        <v>0</v>
      </c>
      <c r="I5" s="8">
        <f t="shared" si="1"/>
        <v>0</v>
      </c>
      <c r="J5" s="8">
        <f t="shared" si="2"/>
        <v>0</v>
      </c>
      <c r="K5" s="13">
        <v>10</v>
      </c>
      <c r="L5" s="11">
        <f t="shared" ref="L5" si="3">(K5/100)*E5</f>
        <v>0.68400000000000005</v>
      </c>
      <c r="M5" s="4">
        <f t="shared" ref="M5" si="4">L5*B5</f>
        <v>0</v>
      </c>
    </row>
    <row r="6" spans="1:13" x14ac:dyDescent="0.3">
      <c r="A6" s="3" t="s">
        <v>6</v>
      </c>
      <c r="B6" s="3">
        <f>SUM(B4:B5)</f>
        <v>0</v>
      </c>
      <c r="C6" s="3"/>
      <c r="D6" s="6">
        <f>SUM(D4:D5)</f>
        <v>0</v>
      </c>
      <c r="E6" s="9" t="e">
        <f>H6/B6</f>
        <v>#DIV/0!</v>
      </c>
      <c r="F6" s="9" t="e">
        <f>I6/B6</f>
        <v>#DIV/0!</v>
      </c>
      <c r="G6" s="9" t="e">
        <f>J6/B6</f>
        <v>#DIV/0!</v>
      </c>
      <c r="H6" s="3">
        <f>SUM(H4:H5)</f>
        <v>0</v>
      </c>
      <c r="I6" s="3">
        <f>SUM(I4:I5)</f>
        <v>0</v>
      </c>
      <c r="J6" s="3">
        <f>SUM(J4:J5)</f>
        <v>0</v>
      </c>
      <c r="K6" s="4"/>
      <c r="L6" s="6"/>
      <c r="M6" s="3">
        <f>SUM(M4:M5)</f>
        <v>0</v>
      </c>
    </row>
    <row r="9" spans="1:13" x14ac:dyDescent="0.3">
      <c r="A9" s="3" t="s">
        <v>10</v>
      </c>
      <c r="B9" s="4"/>
      <c r="C9" s="4"/>
      <c r="D9" s="4"/>
      <c r="E9" s="3" t="s">
        <v>74</v>
      </c>
      <c r="F9" s="3" t="s">
        <v>2</v>
      </c>
      <c r="G9" s="3" t="s">
        <v>3</v>
      </c>
      <c r="H9" s="3" t="s">
        <v>79</v>
      </c>
      <c r="I9" s="3" t="s">
        <v>7</v>
      </c>
      <c r="J9" s="3" t="s">
        <v>8</v>
      </c>
      <c r="K9" s="3" t="s">
        <v>75</v>
      </c>
      <c r="L9" s="3" t="s">
        <v>76</v>
      </c>
      <c r="M9" s="10" t="s">
        <v>78</v>
      </c>
    </row>
    <row r="10" spans="1:13" x14ac:dyDescent="0.3">
      <c r="A10" s="4" t="s">
        <v>9</v>
      </c>
      <c r="B10" s="18">
        <v>0</v>
      </c>
      <c r="C10" s="4"/>
      <c r="D10" s="4"/>
      <c r="E10" s="11">
        <v>5.8</v>
      </c>
      <c r="F10" s="11">
        <v>0.7</v>
      </c>
      <c r="G10" s="11">
        <v>3</v>
      </c>
      <c r="H10" s="5">
        <f>B10*E10</f>
        <v>0</v>
      </c>
      <c r="I10" s="5">
        <f>B10*F10</f>
        <v>0</v>
      </c>
      <c r="J10" s="4">
        <f>B10*G10</f>
        <v>0</v>
      </c>
      <c r="K10" s="4">
        <v>72</v>
      </c>
      <c r="L10" s="11">
        <f t="shared" ref="L10" si="5">(K10/100)*E10</f>
        <v>4.1760000000000002</v>
      </c>
      <c r="M10" s="4">
        <f>B10*L10</f>
        <v>0</v>
      </c>
    </row>
    <row r="11" spans="1:13" x14ac:dyDescent="0.3">
      <c r="A11" s="4" t="s">
        <v>21</v>
      </c>
      <c r="B11" s="12"/>
      <c r="C11" s="4"/>
      <c r="D11" s="4"/>
      <c r="E11" s="11" t="e">
        <f>E6</f>
        <v>#DIV/0!</v>
      </c>
      <c r="F11" s="11" t="e">
        <f t="shared" ref="F11:G11" si="6">F6</f>
        <v>#DIV/0!</v>
      </c>
      <c r="G11" s="11" t="e">
        <f t="shared" si="6"/>
        <v>#DIV/0!</v>
      </c>
      <c r="H11" s="5">
        <f>H6</f>
        <v>0</v>
      </c>
      <c r="I11" s="5">
        <f>I6</f>
        <v>0</v>
      </c>
      <c r="J11" s="5">
        <f>J6</f>
        <v>0</v>
      </c>
      <c r="K11" s="4"/>
      <c r="L11" s="4"/>
      <c r="M11" s="4"/>
    </row>
    <row r="12" spans="1:13" x14ac:dyDescent="0.3">
      <c r="A12" s="4" t="s">
        <v>22</v>
      </c>
      <c r="B12" s="4"/>
      <c r="C12" s="4"/>
      <c r="D12" s="4"/>
      <c r="E12" s="11" t="e">
        <f>E10-E11</f>
        <v>#DIV/0!</v>
      </c>
      <c r="F12" s="11" t="e">
        <f t="shared" ref="F12:G12" si="7">F10-F11</f>
        <v>#DIV/0!</v>
      </c>
      <c r="G12" s="11" t="e">
        <f t="shared" si="7"/>
        <v>#DIV/0!</v>
      </c>
      <c r="H12" s="5">
        <f>H10-H11</f>
        <v>0</v>
      </c>
      <c r="I12" s="5">
        <f>I10-I11</f>
        <v>0</v>
      </c>
      <c r="J12" s="5">
        <f>J10-J11</f>
        <v>0</v>
      </c>
      <c r="K12" s="4"/>
      <c r="L12" s="4"/>
      <c r="M12" s="4"/>
    </row>
    <row r="14" spans="1:13" x14ac:dyDescent="0.3">
      <c r="A14" s="4"/>
      <c r="B14" s="4"/>
      <c r="C14" s="4"/>
      <c r="D14" s="4"/>
      <c r="E14" s="4" t="s">
        <v>11</v>
      </c>
      <c r="F14" s="4" t="s">
        <v>12</v>
      </c>
      <c r="G14" s="4" t="s">
        <v>13</v>
      </c>
      <c r="H14" s="4" t="s">
        <v>77</v>
      </c>
      <c r="I14" s="4" t="s">
        <v>14</v>
      </c>
      <c r="J14" s="4" t="s">
        <v>15</v>
      </c>
      <c r="K14" s="4"/>
      <c r="L14" s="4"/>
      <c r="M14" s="4" t="s">
        <v>83</v>
      </c>
    </row>
    <row r="15" spans="1:13" x14ac:dyDescent="0.3">
      <c r="A15" s="4" t="s">
        <v>80</v>
      </c>
      <c r="B15" s="4"/>
      <c r="C15" s="4"/>
      <c r="D15" s="4"/>
      <c r="E15" s="17">
        <v>8</v>
      </c>
      <c r="F15" s="17">
        <v>15</v>
      </c>
      <c r="G15" s="17">
        <v>8</v>
      </c>
      <c r="H15" s="4">
        <f>-(H12*E15)</f>
        <v>0</v>
      </c>
      <c r="I15" s="5">
        <f>-(I12*F15)</f>
        <v>0</v>
      </c>
      <c r="J15" s="5">
        <f>-(J12*G15)</f>
        <v>0</v>
      </c>
      <c r="K15" s="4"/>
      <c r="L15" s="4"/>
      <c r="M15" s="4">
        <f>(M10-M6)*E15</f>
        <v>0</v>
      </c>
    </row>
    <row r="17" spans="1:3" x14ac:dyDescent="0.3">
      <c r="B17" s="1"/>
    </row>
    <row r="19" spans="1:3" x14ac:dyDescent="0.3">
      <c r="A19" s="3" t="s">
        <v>50</v>
      </c>
      <c r="B19" s="4"/>
      <c r="C19" s="4"/>
    </row>
    <row r="20" spans="1:3" x14ac:dyDescent="0.3">
      <c r="A20" s="3" t="s">
        <v>71</v>
      </c>
      <c r="B20" s="17">
        <v>0</v>
      </c>
      <c r="C20" s="4" t="s">
        <v>55</v>
      </c>
    </row>
    <row r="21" spans="1:3" x14ac:dyDescent="0.3">
      <c r="A21" s="4" t="s">
        <v>16</v>
      </c>
      <c r="B21" s="17">
        <v>0</v>
      </c>
      <c r="C21" s="4" t="s">
        <v>39</v>
      </c>
    </row>
    <row r="22" spans="1:3" x14ac:dyDescent="0.3">
      <c r="A22" s="4" t="s">
        <v>40</v>
      </c>
      <c r="B22" s="17">
        <v>1200</v>
      </c>
      <c r="C22" s="4" t="s">
        <v>41</v>
      </c>
    </row>
    <row r="23" spans="1:3" x14ac:dyDescent="0.3">
      <c r="A23" s="4" t="s">
        <v>42</v>
      </c>
      <c r="B23" s="17">
        <v>18</v>
      </c>
      <c r="C23" s="4" t="s">
        <v>47</v>
      </c>
    </row>
    <row r="24" spans="1:3" x14ac:dyDescent="0.3">
      <c r="A24" s="4" t="s">
        <v>42</v>
      </c>
      <c r="B24" s="4">
        <f>(B23/60)*B22</f>
        <v>360</v>
      </c>
      <c r="C24" s="4" t="s">
        <v>17</v>
      </c>
    </row>
    <row r="25" spans="1:3" x14ac:dyDescent="0.3">
      <c r="A25" s="4" t="s">
        <v>43</v>
      </c>
      <c r="B25" s="17">
        <v>50</v>
      </c>
      <c r="C25" s="4" t="s">
        <v>44</v>
      </c>
    </row>
    <row r="26" spans="1:3" x14ac:dyDescent="0.3">
      <c r="A26" s="4" t="s">
        <v>45</v>
      </c>
      <c r="B26" s="5">
        <f>2*(B21/B25)*B22</f>
        <v>0</v>
      </c>
      <c r="C26" s="4" t="s">
        <v>17</v>
      </c>
    </row>
    <row r="27" spans="1:3" x14ac:dyDescent="0.3">
      <c r="A27" s="4" t="s">
        <v>46</v>
      </c>
      <c r="B27" s="5">
        <f>B24+B26</f>
        <v>360</v>
      </c>
      <c r="C27" s="4" t="s">
        <v>48</v>
      </c>
    </row>
    <row r="28" spans="1:3" x14ac:dyDescent="0.3">
      <c r="A28" s="4" t="s">
        <v>49</v>
      </c>
      <c r="B28" s="18">
        <v>36</v>
      </c>
      <c r="C28" s="4" t="s">
        <v>5</v>
      </c>
    </row>
    <row r="29" spans="1:3" x14ac:dyDescent="0.3">
      <c r="A29" s="4" t="s">
        <v>51</v>
      </c>
      <c r="B29" s="5">
        <f>B20/B28*B27</f>
        <v>0</v>
      </c>
      <c r="C29" s="4" t="s">
        <v>38</v>
      </c>
    </row>
    <row r="30" spans="1:3" x14ac:dyDescent="0.3">
      <c r="A30" s="4"/>
      <c r="B30" s="4"/>
      <c r="C30" s="4"/>
    </row>
    <row r="31" spans="1:3" x14ac:dyDescent="0.3">
      <c r="A31" s="3" t="s">
        <v>56</v>
      </c>
      <c r="B31" s="4"/>
      <c r="C31" s="4"/>
    </row>
    <row r="32" spans="1:3" x14ac:dyDescent="0.3">
      <c r="A32" s="4" t="s">
        <v>52</v>
      </c>
      <c r="B32" s="17">
        <v>50</v>
      </c>
      <c r="C32" s="4" t="s">
        <v>53</v>
      </c>
    </row>
    <row r="33" spans="1:4" x14ac:dyDescent="0.3">
      <c r="A33" s="4" t="s">
        <v>54</v>
      </c>
      <c r="B33" s="4">
        <f>B5</f>
        <v>0</v>
      </c>
      <c r="C33" s="4" t="s">
        <v>55</v>
      </c>
    </row>
    <row r="34" spans="1:4" x14ac:dyDescent="0.3">
      <c r="A34" s="4" t="s">
        <v>57</v>
      </c>
      <c r="B34" s="4">
        <f>B32*B33</f>
        <v>0</v>
      </c>
      <c r="C34" s="4" t="s">
        <v>38</v>
      </c>
    </row>
    <row r="35" spans="1:4" x14ac:dyDescent="0.3">
      <c r="A35" s="4"/>
      <c r="B35" s="4"/>
      <c r="C35" s="4"/>
    </row>
    <row r="36" spans="1:4" x14ac:dyDescent="0.3">
      <c r="A36" s="3" t="s">
        <v>63</v>
      </c>
      <c r="B36" s="4"/>
      <c r="C36" s="4"/>
    </row>
    <row r="37" spans="1:4" x14ac:dyDescent="0.3">
      <c r="A37" s="4" t="s">
        <v>65</v>
      </c>
      <c r="B37" s="17">
        <v>0</v>
      </c>
      <c r="C37" s="4" t="s">
        <v>55</v>
      </c>
    </row>
    <row r="38" spans="1:4" x14ac:dyDescent="0.3">
      <c r="A38" s="4" t="s">
        <v>66</v>
      </c>
      <c r="B38" s="17">
        <v>25</v>
      </c>
      <c r="C38" s="4" t="s">
        <v>53</v>
      </c>
    </row>
    <row r="39" spans="1:4" x14ac:dyDescent="0.3">
      <c r="A39" s="4" t="s">
        <v>67</v>
      </c>
      <c r="B39" s="4">
        <f>B37*B38</f>
        <v>0</v>
      </c>
      <c r="C39" s="4" t="s">
        <v>38</v>
      </c>
    </row>
    <row r="40" spans="1:4" x14ac:dyDescent="0.3">
      <c r="A40" s="4"/>
      <c r="B40" s="4"/>
      <c r="C40" s="4"/>
    </row>
    <row r="41" spans="1:4" x14ac:dyDescent="0.3">
      <c r="A41" s="4"/>
      <c r="B41" s="4"/>
      <c r="C41" s="4"/>
    </row>
    <row r="42" spans="1:4" x14ac:dyDescent="0.3">
      <c r="A42" s="4"/>
      <c r="B42" s="4"/>
      <c r="C42" s="4"/>
    </row>
    <row r="43" spans="1:4" x14ac:dyDescent="0.3">
      <c r="A43" s="3" t="s">
        <v>18</v>
      </c>
      <c r="B43" s="4"/>
      <c r="C43" s="4"/>
    </row>
    <row r="44" spans="1:4" x14ac:dyDescent="0.3">
      <c r="A44" s="3" t="s">
        <v>23</v>
      </c>
      <c r="B44" s="4"/>
      <c r="C44" s="4"/>
    </row>
    <row r="45" spans="1:4" x14ac:dyDescent="0.3">
      <c r="A45" s="4" t="s">
        <v>24</v>
      </c>
      <c r="B45" s="17">
        <v>0</v>
      </c>
      <c r="C45" s="4" t="s">
        <v>25</v>
      </c>
      <c r="D45" t="s">
        <v>90</v>
      </c>
    </row>
    <row r="46" spans="1:4" x14ac:dyDescent="0.3">
      <c r="A46" s="4" t="s">
        <v>26</v>
      </c>
      <c r="B46" s="4">
        <v>1000</v>
      </c>
      <c r="C46" s="4" t="s">
        <v>27</v>
      </c>
    </row>
    <row r="47" spans="1:4" x14ac:dyDescent="0.3">
      <c r="A47" s="4" t="s">
        <v>28</v>
      </c>
      <c r="B47" s="4">
        <f>(B45*B46)</f>
        <v>0</v>
      </c>
      <c r="C47" s="4" t="s">
        <v>17</v>
      </c>
    </row>
    <row r="48" spans="1:4" x14ac:dyDescent="0.3">
      <c r="A48" s="4"/>
      <c r="B48" s="4"/>
      <c r="C48" s="4"/>
    </row>
    <row r="49" spans="1:4" x14ac:dyDescent="0.3">
      <c r="A49" s="4"/>
      <c r="B49" s="4"/>
      <c r="C49" s="4"/>
    </row>
    <row r="50" spans="1:4" x14ac:dyDescent="0.3">
      <c r="A50" s="3" t="s">
        <v>61</v>
      </c>
      <c r="B50" s="4"/>
      <c r="C50" s="4"/>
    </row>
    <row r="51" spans="1:4" x14ac:dyDescent="0.3">
      <c r="A51" s="4" t="s">
        <v>24</v>
      </c>
      <c r="B51" s="17">
        <v>0</v>
      </c>
      <c r="C51" s="4" t="s">
        <v>25</v>
      </c>
    </row>
    <row r="52" spans="1:4" x14ac:dyDescent="0.3">
      <c r="A52" s="4" t="s">
        <v>69</v>
      </c>
      <c r="B52" s="4">
        <v>240</v>
      </c>
      <c r="C52" s="4" t="s">
        <v>27</v>
      </c>
    </row>
    <row r="53" spans="1:4" x14ac:dyDescent="0.3">
      <c r="A53" s="4" t="s">
        <v>68</v>
      </c>
      <c r="B53" s="17">
        <v>0</v>
      </c>
      <c r="C53" s="4" t="s">
        <v>60</v>
      </c>
    </row>
    <row r="54" spans="1:4" x14ac:dyDescent="0.3">
      <c r="A54" s="4" t="s">
        <v>29</v>
      </c>
      <c r="B54" s="4">
        <v>131</v>
      </c>
      <c r="C54" s="4" t="s">
        <v>27</v>
      </c>
    </row>
    <row r="55" spans="1:4" x14ac:dyDescent="0.3">
      <c r="A55" s="4" t="s">
        <v>28</v>
      </c>
      <c r="B55" s="4">
        <f>B51*(B52+B54*B53)</f>
        <v>0</v>
      </c>
      <c r="C55" s="4" t="s">
        <v>17</v>
      </c>
    </row>
    <row r="56" spans="1:4" x14ac:dyDescent="0.3">
      <c r="A56" s="4"/>
      <c r="B56" s="4"/>
      <c r="C56" s="4"/>
    </row>
    <row r="57" spans="1:4" x14ac:dyDescent="0.3">
      <c r="A57" s="3" t="s">
        <v>84</v>
      </c>
      <c r="B57" s="17">
        <v>0</v>
      </c>
      <c r="C57" s="4" t="s">
        <v>17</v>
      </c>
      <c r="D57" t="s">
        <v>85</v>
      </c>
    </row>
    <row r="58" spans="1:4" x14ac:dyDescent="0.3">
      <c r="A58" s="4"/>
      <c r="B58" s="4"/>
      <c r="C58" s="4"/>
    </row>
    <row r="59" spans="1:4" x14ac:dyDescent="0.3">
      <c r="A59" s="4" t="s">
        <v>30</v>
      </c>
      <c r="B59" s="4">
        <f>B47+B55+B57</f>
        <v>0</v>
      </c>
      <c r="C59" s="4" t="s">
        <v>17</v>
      </c>
    </row>
    <row r="60" spans="1:4" x14ac:dyDescent="0.3">
      <c r="A60" s="4" t="s">
        <v>33</v>
      </c>
      <c r="B60" s="17">
        <v>0</v>
      </c>
      <c r="C60" s="4" t="s">
        <v>31</v>
      </c>
    </row>
    <row r="61" spans="1:4" x14ac:dyDescent="0.3">
      <c r="A61" s="4" t="s">
        <v>32</v>
      </c>
      <c r="B61" s="4">
        <f>B59*(100-B60)/100</f>
        <v>0</v>
      </c>
      <c r="C61" s="4"/>
    </row>
    <row r="62" spans="1:4" x14ac:dyDescent="0.3">
      <c r="A62" s="4"/>
      <c r="B62" s="4"/>
      <c r="C62" s="4"/>
    </row>
    <row r="63" spans="1:4" x14ac:dyDescent="0.3">
      <c r="A63" s="4" t="s">
        <v>34</v>
      </c>
      <c r="B63" s="17">
        <v>5</v>
      </c>
      <c r="C63" s="4" t="s">
        <v>31</v>
      </c>
    </row>
    <row r="64" spans="1:4" x14ac:dyDescent="0.3">
      <c r="A64" s="4" t="s">
        <v>35</v>
      </c>
      <c r="B64" s="17">
        <v>15</v>
      </c>
      <c r="C64" s="4" t="s">
        <v>36</v>
      </c>
    </row>
    <row r="65" spans="1:4" x14ac:dyDescent="0.3">
      <c r="A65" s="4" t="s">
        <v>37</v>
      </c>
      <c r="B65" s="5">
        <f>B61*B63*0.01/(1-(1+B63*0.01)^-B64)</f>
        <v>0</v>
      </c>
      <c r="C65" s="4" t="s">
        <v>38</v>
      </c>
    </row>
    <row r="66" spans="1:4" x14ac:dyDescent="0.3">
      <c r="A66" s="4"/>
      <c r="B66" s="4"/>
      <c r="C66" s="4"/>
    </row>
    <row r="67" spans="1:4" x14ac:dyDescent="0.3">
      <c r="A67" s="4"/>
      <c r="B67" s="4"/>
      <c r="C67" s="4"/>
    </row>
    <row r="68" spans="1:4" x14ac:dyDescent="0.3">
      <c r="A68" s="4"/>
      <c r="B68" s="4"/>
      <c r="C68" s="4"/>
    </row>
    <row r="69" spans="1:4" x14ac:dyDescent="0.3">
      <c r="A69" s="3" t="s">
        <v>58</v>
      </c>
      <c r="B69" s="3" t="s">
        <v>38</v>
      </c>
      <c r="C69" s="4"/>
    </row>
    <row r="70" spans="1:4" x14ac:dyDescent="0.3">
      <c r="A70" s="4" t="s">
        <v>81</v>
      </c>
      <c r="B70" s="5">
        <f>(H15+I15+J15)</f>
        <v>0</v>
      </c>
      <c r="C70" s="4"/>
      <c r="D70" t="s">
        <v>73</v>
      </c>
    </row>
    <row r="71" spans="1:4" x14ac:dyDescent="0.3">
      <c r="A71" s="4" t="s">
        <v>82</v>
      </c>
      <c r="B71" s="4">
        <f>M15</f>
        <v>0</v>
      </c>
      <c r="C71" s="4"/>
    </row>
    <row r="72" spans="1:4" x14ac:dyDescent="0.3">
      <c r="A72" s="4" t="s">
        <v>59</v>
      </c>
      <c r="B72" s="5">
        <f>B29</f>
        <v>0</v>
      </c>
      <c r="C72" s="4"/>
    </row>
    <row r="73" spans="1:4" x14ac:dyDescent="0.3">
      <c r="A73" s="4" t="s">
        <v>62</v>
      </c>
      <c r="B73" s="4">
        <f>B34</f>
        <v>0</v>
      </c>
      <c r="C73" s="4"/>
    </row>
    <row r="74" spans="1:4" x14ac:dyDescent="0.3">
      <c r="A74" s="4" t="s">
        <v>63</v>
      </c>
      <c r="B74" s="4">
        <f>-B39</f>
        <v>0</v>
      </c>
      <c r="C74" s="4" t="s">
        <v>64</v>
      </c>
    </row>
    <row r="75" spans="1:4" x14ac:dyDescent="0.3">
      <c r="A75" s="4" t="s">
        <v>70</v>
      </c>
      <c r="B75" s="5">
        <f>-B65</f>
        <v>0</v>
      </c>
      <c r="C75" s="4"/>
    </row>
    <row r="76" spans="1:4" x14ac:dyDescent="0.3">
      <c r="A76" s="4" t="s">
        <v>6</v>
      </c>
      <c r="B76" s="5">
        <f>SUM(B70:B75)</f>
        <v>0</v>
      </c>
      <c r="C76" s="4"/>
    </row>
    <row r="83" spans="1:1" ht="28.8" x14ac:dyDescent="0.55000000000000004">
      <c r="A83" s="14" t="s">
        <v>88</v>
      </c>
    </row>
  </sheetData>
  <sheetProtection algorithmName="SHA-512" hashValue="DtIRJmfEVFBif4F7SQtPOb4kVeSn9O8ElQ0x4WrHTFKizzrE8jk9xrD+dBCSHE4j5BnM2VFG1SUuWf6+P+sxdg==" saltValue="wfawpyG95MSrdwVYz+p+cw==" spinCount="100000" sheet="1" objects="1" scenarios="1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Instruktioner</vt:lpstr>
      <vt:lpstr>Beräkningsverktyg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Benjaminsson</dc:creator>
  <cp:lastModifiedBy>Johan Benjaminsson</cp:lastModifiedBy>
  <dcterms:created xsi:type="dcterms:W3CDTF">2019-11-27T09:19:34Z</dcterms:created>
  <dcterms:modified xsi:type="dcterms:W3CDTF">2020-04-28T08:30:33Z</dcterms:modified>
</cp:coreProperties>
</file>